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<sst xmlns="http://schemas.openxmlformats.org/spreadsheetml/2006/main" count="60" uniqueCount="55">
  <si>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Parliamentary Electorate</t>
  </si>
  <si>
    <t>Barnsley</t>
  </si>
  <si>
    <t>Doncaster</t>
  </si>
  <si>
    <t>Rotherham</t>
  </si>
  <si>
    <t>Sheffield</t>
  </si>
  <si>
    <t>SOUTH YORKSHIRE</t>
  </si>
  <si>
    <t>Bradford</t>
  </si>
  <si>
    <t>Calderdale</t>
  </si>
  <si>
    <t>Kirklees</t>
  </si>
  <si>
    <t>Leeds</t>
  </si>
  <si>
    <t>Wakefield</t>
  </si>
  <si>
    <t>WEST YORKSHIRE</t>
  </si>
  <si>
    <t>East Riding of Yorkshire *</t>
  </si>
  <si>
    <t>Kingston upon Hull *</t>
  </si>
  <si>
    <t>North East Lincolnshire *</t>
  </si>
  <si>
    <t>North Lincolnshire *</t>
  </si>
  <si>
    <t>HUMBERSIDE #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</si>
  <si>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</si>
  <si>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</si>
  <si>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</si>
  <si>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</si>
  <si>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</si>
  <si>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</si>
  <si>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</si>
  <si>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YORKSHIRE</t>
  </si>
  <si>
    <t>York *</t>
  </si>
  <si>
    <t>Quota</t>
  </si>
  <si>
    <t>District</t>
  </si>
  <si>
    <t>Parliamentary Entitlement</t>
  </si>
  <si>
    <t>YORKSHIRE</t>
  </si>
  <si>
    <t>Rounded Seats</t>
  </si>
  <si>
    <t>York + North Yorkshire</t>
  </si>
  <si>
    <t>Seats entitled to using English quota</t>
  </si>
  <si>
    <t>Quota for England (exc. Isle of Wight)</t>
  </si>
  <si>
    <t>Current Seats</t>
  </si>
  <si>
    <t>North Humbershire (East Yorkshire)</t>
  </si>
  <si>
    <t>South Humbershire (Lincolnshire)</t>
  </si>
  <si>
    <t>Total Electorate</t>
  </si>
  <si>
    <t>Modifier</t>
  </si>
  <si>
    <t>Calculated 07/05/2015</t>
  </si>
  <si>
    <t>WY</t>
  </si>
  <si>
    <t>SY</t>
  </si>
  <si>
    <t>HS</t>
  </si>
  <si>
    <t>NY</t>
  </si>
  <si>
    <t>NOTES</t>
  </si>
  <si>
    <t>2013 electorates are calculated by multipliing the local electorate</t>
  </si>
  <si>
    <t>by the ratio of the total English local electorate to the total English</t>
  </si>
  <si>
    <t>Parliamentary electotate to get the local council Parliamentary electorate.</t>
  </si>
  <si>
    <t>electorate by the ratio of the total county Parliamentary electorate</t>
  </si>
  <si>
    <t>on Polling Day to the total county Parliamentary electorate on 01-Mar-2015.</t>
  </si>
  <si>
    <t>01-May-2015 electorates calculated by multiplying the 01-Mar-2015</t>
  </si>
  <si>
    <t>The published Sheffield/Barnsley figures are split the wrong way around.</t>
  </si>
  <si>
    <t>in Stocksbridge &amp; Penistone constituency. This swaps that discrepacy</t>
  </si>
  <si>
    <t>to correct the figures.</t>
  </si>
  <si>
    <t>54 SEATS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</si>
</sst>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0_)"/>
    <numFmt numFmtId="166" formatCode="0_)"/>
    <numFmt numFmtId="167" formatCode="0.000"/>
    <numFmt numFmtId="168" formatCode="d\-mmm\-yyyy"/>
  </numFmts>
  <fonts count="7">
    <font>
      <sz val="10"/>
      <name val="Arial"/>
      <family val="0"/>
    </font>
    <font>
      <sz val="10"/>
      <color indexed="8"/>
      <name val="Times New Roman"/>
      <family val="1"/>
    </font>
    <font>
      <sz val="12"/>
      <name val="LinePrinte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19" applyFont="1">
      <alignment/>
      <protection/>
    </xf>
    <xf numFmtId="164" fontId="1" fillId="0" borderId="0" xfId="19" applyFont="1" applyAlignment="1" applyProtection="1">
      <alignment horizontal="centerContinuous"/>
      <protection locked="0"/>
    </xf>
    <xf numFmtId="164" fontId="3" fillId="0" borderId="0" xfId="19" applyFont="1">
      <alignment/>
      <protection/>
    </xf>
    <xf numFmtId="164" fontId="1" fillId="0" borderId="0" xfId="19" applyFont="1" applyAlignment="1" applyProtection="1">
      <alignment horizontal="left"/>
      <protection locked="0"/>
    </xf>
    <xf numFmtId="164" fontId="1" fillId="0" borderId="0" xfId="19" applyFont="1" applyAlignment="1" applyProtection="1">
      <alignment horizontal="right"/>
      <protection locked="0"/>
    </xf>
    <xf numFmtId="3" fontId="1" fillId="0" borderId="0" xfId="19" applyNumberFormat="1" applyFont="1" applyProtection="1">
      <alignment/>
      <protection locked="0"/>
    </xf>
    <xf numFmtId="164" fontId="1" fillId="0" borderId="0" xfId="19" applyFont="1" applyProtection="1">
      <alignment/>
      <protection locked="0"/>
    </xf>
    <xf numFmtId="3" fontId="3" fillId="0" borderId="0" xfId="19" applyNumberFormat="1" applyFont="1">
      <alignment/>
      <protection/>
    </xf>
    <xf numFmtId="3" fontId="1" fillId="0" borderId="0" xfId="19" applyNumberFormat="1" applyFont="1">
      <alignment/>
      <protection/>
    </xf>
    <xf numFmtId="2" fontId="3" fillId="0" borderId="0" xfId="19" applyNumberFormat="1" applyFont="1" applyAlignment="1">
      <alignment horizontal="right"/>
      <protection/>
    </xf>
    <xf numFmtId="2" fontId="3" fillId="0" borderId="0" xfId="19" applyNumberFormat="1" applyFont="1">
      <alignment/>
      <protection/>
    </xf>
    <xf numFmtId="167" fontId="3" fillId="0" borderId="0" xfId="19" applyNumberFormat="1" applyFont="1">
      <alignment/>
      <protection/>
    </xf>
    <xf numFmtId="167" fontId="1" fillId="0" borderId="0" xfId="19" applyNumberFormat="1" applyFont="1" applyProtection="1">
      <alignment/>
      <protection locked="0"/>
    </xf>
    <xf numFmtId="2" fontId="1" fillId="0" borderId="0" xfId="19" applyNumberFormat="1" applyFont="1" applyProtection="1">
      <alignment/>
      <protection locked="0"/>
    </xf>
    <xf numFmtId="164" fontId="4" fillId="0" borderId="0" xfId="19" applyFont="1">
      <alignment/>
      <protection/>
    </xf>
    <xf numFmtId="164" fontId="5" fillId="0" borderId="0" xfId="19" applyFont="1" applyAlignment="1" applyProtection="1">
      <alignment horizontal="left"/>
      <protection locked="0"/>
    </xf>
    <xf numFmtId="3" fontId="5" fillId="0" borderId="0" xfId="19" applyNumberFormat="1" applyFont="1" applyProtection="1">
      <alignment/>
      <protection locked="0"/>
    </xf>
    <xf numFmtId="164" fontId="5" fillId="0" borderId="0" xfId="19" applyFont="1" applyProtection="1">
      <alignment/>
      <protection locked="0"/>
    </xf>
    <xf numFmtId="2" fontId="6" fillId="0" borderId="0" xfId="19" applyNumberFormat="1" applyFont="1">
      <alignment/>
      <protection/>
    </xf>
    <xf numFmtId="164" fontId="6" fillId="0" borderId="0" xfId="19" applyFont="1">
      <alignment/>
      <protection/>
    </xf>
    <xf numFmtId="164" fontId="5" fillId="0" borderId="0" xfId="19" applyFont="1">
      <alignment/>
      <protection/>
    </xf>
    <xf numFmtId="164" fontId="3" fillId="0" borderId="0" xfId="19" applyNumberFormat="1" applyFont="1">
      <alignment/>
      <protection/>
    </xf>
    <xf numFmtId="164" fontId="1" fillId="0" borderId="0" xfId="19" applyFont="1" applyAlignment="1" applyProtection="1">
      <alignment horizontal="center" wrapText="1"/>
      <protection locked="0"/>
    </xf>
    <xf numFmtId="164" fontId="3" fillId="0" borderId="0" xfId="19" applyFont="1" applyAlignment="1">
      <alignment horizontal="center" wrapText="1"/>
      <protection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5" fillId="0" borderId="0" xfId="19" applyNumberFormat="1" applyFont="1">
      <alignment/>
      <protection/>
    </xf>
    <xf numFmtId="2" fontId="5" fillId="0" borderId="0" xfId="19" applyNumberFormat="1" applyFont="1" applyProtection="1">
      <alignment/>
      <protection locked="0"/>
    </xf>
    <xf numFmtId="168" fontId="1" fillId="0" borderId="0" xfId="19" applyNumberFormat="1" applyFont="1" applyAlignment="1" applyProtection="1">
      <alignment horizontal="right"/>
      <protection locked="0"/>
    </xf>
    <xf numFmtId="168" fontId="3" fillId="0" borderId="0" xfId="19" applyNumberFormat="1" applyFont="1">
      <alignment/>
      <protection/>
    </xf>
    <xf numFmtId="168" fontId="1" fillId="0" borderId="0" xfId="19" applyNumberFormat="1" applyFont="1" applyAlignment="1" applyProtection="1">
      <alignment horizontal="center" wrapText="1"/>
      <protection locked="0"/>
    </xf>
    <xf numFmtId="168" fontId="3" fillId="0" borderId="0" xfId="19" applyNumberFormat="1" applyFont="1" applyAlignment="1">
      <alignment horizont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5" fontId="1" fillId="0" borderId="0" xfId="19" applyNumberFormat="1" applyFont="1" applyAlignment="1" applyProtection="1">
      <alignment horizontal="center"/>
      <protection locked="0"/>
    </xf>
    <xf numFmtId="0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NGLAND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21.140625" style="3" bestFit="1" customWidth="1"/>
    <col min="2" max="6" width="10.00390625" style="3" customWidth="1"/>
    <col min="7" max="7" width="2.8515625" style="3" customWidth="1"/>
    <col min="8" max="8" width="7.140625" style="3" customWidth="1"/>
    <col min="9" max="9" width="5.7109375" style="3" customWidth="1"/>
    <col min="10" max="12" width="7.140625" style="12" customWidth="1"/>
    <col min="13" max="14" width="10.00390625" style="12" customWidth="1"/>
    <col min="15" max="15" width="2.8515625" style="12" customWidth="1"/>
    <col min="16" max="16" width="8.00390625" style="3" customWidth="1"/>
    <col min="17" max="17" width="12.57421875" style="11" customWidth="1"/>
    <col min="18" max="16384" width="12.57421875" style="3" customWidth="1"/>
  </cols>
  <sheetData>
    <row r="1" spans="1:16" ht="12.75">
      <c r="A1" s="21" t="s">
        <v>54</v>
      </c>
      <c r="B1" s="34" t="s">
        <v>0</v>
      </c>
      <c r="C1" s="35"/>
      <c r="D1" s="35"/>
      <c r="E1" s="35"/>
      <c r="F1" s="35"/>
      <c r="G1" s="35"/>
      <c r="H1" s="35"/>
      <c r="I1" s="2"/>
      <c r="J1" s="36" t="s">
        <v>28</v>
      </c>
      <c r="K1" s="37"/>
      <c r="L1" s="37"/>
      <c r="M1" s="37"/>
      <c r="N1" s="37"/>
      <c r="O1" s="37"/>
      <c r="P1" s="37"/>
    </row>
    <row r="2" spans="1:17" ht="25.5">
      <c r="A2" s="4" t="s">
        <v>27</v>
      </c>
      <c r="B2" s="5">
        <v>2010</v>
      </c>
      <c r="C2" s="5">
        <v>2011</v>
      </c>
      <c r="D2" s="5">
        <v>2013</v>
      </c>
      <c r="E2" s="29">
        <v>42064</v>
      </c>
      <c r="F2" s="31" t="s">
        <v>39</v>
      </c>
      <c r="G2" s="5"/>
      <c r="H2" s="23" t="s">
        <v>34</v>
      </c>
      <c r="I2" s="5"/>
      <c r="J2" s="22">
        <f>B2</f>
        <v>2010</v>
      </c>
      <c r="K2" s="22">
        <f>C2</f>
        <v>2011</v>
      </c>
      <c r="L2" s="22">
        <f>D2</f>
        <v>2013</v>
      </c>
      <c r="M2" s="30">
        <f>E2</f>
        <v>42064</v>
      </c>
      <c r="N2" s="32" t="str">
        <f>F2</f>
        <v>Calculated 07/05/2015</v>
      </c>
      <c r="O2" s="22"/>
      <c r="P2" s="24" t="s">
        <v>30</v>
      </c>
      <c r="Q2" s="10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5" ht="12.75">
      <c r="A4" s="4" t="s">
        <v>1</v>
      </c>
      <c r="B4" s="8">
        <v>175811</v>
      </c>
      <c r="C4" s="8">
        <v>176015</v>
      </c>
      <c r="D4" s="25">
        <f>182761/D45</f>
        <v>176813.998659017</v>
      </c>
      <c r="E4" s="8">
        <v>176280</v>
      </c>
      <c r="F4" s="25">
        <f>E4*F45-8785</f>
        <v>173084.22793762712</v>
      </c>
      <c r="G4" s="8"/>
      <c r="H4" s="7">
        <v>2.75</v>
      </c>
      <c r="I4" s="7"/>
      <c r="J4" s="11">
        <f>B4/J40</f>
        <v>2.486397455616947</v>
      </c>
      <c r="K4" s="11">
        <f>C4/K40</f>
        <v>2.4694604387387495</v>
      </c>
      <c r="L4" s="11">
        <f>D4/L40</f>
        <v>2.510537594363669</v>
      </c>
      <c r="M4" s="11">
        <f>E4/M40</f>
        <v>2.5323402024090846</v>
      </c>
      <c r="N4" s="11">
        <f>F4/N40</f>
        <v>2.412935920671541</v>
      </c>
      <c r="O4" s="11"/>
    </row>
    <row r="5" spans="1:15" ht="12.75">
      <c r="A5" s="4" t="s">
        <v>2</v>
      </c>
      <c r="B5" s="8">
        <v>218109</v>
      </c>
      <c r="C5" s="8">
        <v>220403</v>
      </c>
      <c r="D5" s="25">
        <f>221991/D45</f>
        <v>214767.46338832597</v>
      </c>
      <c r="E5" s="8">
        <v>206309</v>
      </c>
      <c r="F5" s="25">
        <f>E5*F45</f>
        <v>212850.34346825455</v>
      </c>
      <c r="G5" s="8"/>
      <c r="H5" s="7">
        <v>3</v>
      </c>
      <c r="I5" s="7"/>
      <c r="J5" s="11">
        <f>B5/J40</f>
        <v>3.0845946081141493</v>
      </c>
      <c r="K5" s="11">
        <f>C5/K40</f>
        <v>3.092216510407275</v>
      </c>
      <c r="L5" s="11">
        <f>D5/L40</f>
        <v>3.049429315392153</v>
      </c>
      <c r="M5" s="11">
        <f>E5/M40</f>
        <v>2.96372007498761</v>
      </c>
      <c r="N5" s="11">
        <f>F5/N40</f>
        <v>2.9673081458751174</v>
      </c>
      <c r="O5" s="11"/>
    </row>
    <row r="6" spans="1:16" ht="12.75">
      <c r="A6" s="4" t="s">
        <v>3</v>
      </c>
      <c r="B6" s="8">
        <v>190076</v>
      </c>
      <c r="C6" s="8">
        <v>191489</v>
      </c>
      <c r="D6" s="25">
        <f>198457/D45</f>
        <v>191999.25439165105</v>
      </c>
      <c r="E6" s="8">
        <v>195614</v>
      </c>
      <c r="F6" s="25">
        <f>E6*F45</f>
        <v>201816.2420795949</v>
      </c>
      <c r="G6" s="8"/>
      <c r="H6" s="7">
        <v>2.75</v>
      </c>
      <c r="I6" s="7"/>
      <c r="J6" s="11">
        <f>B6/J40</f>
        <v>2.688139438225406</v>
      </c>
      <c r="K6" s="11">
        <f>C6/K40</f>
        <v>2.6865580203598807</v>
      </c>
      <c r="L6" s="11">
        <f>D6/L40</f>
        <v>2.726149229674989</v>
      </c>
      <c r="M6" s="11">
        <f>E6/M40</f>
        <v>2.8100816675405644</v>
      </c>
      <c r="N6" s="11">
        <f>F6/N40</f>
        <v>2.813483733851723</v>
      </c>
      <c r="O6" s="11"/>
      <c r="P6" s="3">
        <v>2.5</v>
      </c>
    </row>
    <row r="7" spans="1:16" ht="12.75">
      <c r="A7" s="4" t="s">
        <v>4</v>
      </c>
      <c r="B7" s="8">
        <v>378810</v>
      </c>
      <c r="C7" s="8">
        <v>386512</v>
      </c>
      <c r="D7" s="25">
        <f>399131/D45</f>
        <v>386143.36810792296</v>
      </c>
      <c r="E7" s="8">
        <v>385100</v>
      </c>
      <c r="F7" s="25">
        <f>E7*F45+8785</f>
        <v>406095.18651452346</v>
      </c>
      <c r="G7" s="8"/>
      <c r="H7" s="7">
        <v>5.5</v>
      </c>
      <c r="I7" s="7"/>
      <c r="J7" s="11">
        <f>B7/J40</f>
        <v>5.357299714820209</v>
      </c>
      <c r="K7" s="11">
        <f>C7/K40</f>
        <v>5.422697458158631</v>
      </c>
      <c r="L7" s="11">
        <f>D7/L40</f>
        <v>5.482752778634203</v>
      </c>
      <c r="M7" s="11">
        <f>E7/M40</f>
        <v>5.5321319034929575</v>
      </c>
      <c r="N7" s="11">
        <f>F7/N40</f>
        <v>5.661299555877584</v>
      </c>
      <c r="O7" s="11"/>
      <c r="P7" s="3">
        <v>5</v>
      </c>
    </row>
    <row r="8" spans="1:17" s="20" customFormat="1" ht="12.75">
      <c r="A8" s="16" t="s">
        <v>5</v>
      </c>
      <c r="B8" s="17">
        <f>SUM(B4:B7)</f>
        <v>962806</v>
      </c>
      <c r="C8" s="17">
        <f>SUM(C4:C7)</f>
        <v>974419</v>
      </c>
      <c r="D8" s="17">
        <f>SUM(D4:D7)</f>
        <v>969724.084546917</v>
      </c>
      <c r="E8" s="17">
        <f>SUM(E4:E7)</f>
        <v>963303</v>
      </c>
      <c r="F8" s="17">
        <f>SUM(F4:F7)</f>
        <v>993846</v>
      </c>
      <c r="G8" s="17"/>
      <c r="H8" s="18">
        <f>SUM(H4:H7)</f>
        <v>14</v>
      </c>
      <c r="I8" s="18"/>
      <c r="J8" s="19">
        <f>B8/J40</f>
        <v>13.61643121677671</v>
      </c>
      <c r="K8" s="19">
        <f>C8/K40</f>
        <v>13.670932427664537</v>
      </c>
      <c r="L8" s="19">
        <f>D8/L40</f>
        <v>13.768868918065014</v>
      </c>
      <c r="M8" s="19">
        <f>E8/M40</f>
        <v>13.838273848430216</v>
      </c>
      <c r="N8" s="19">
        <f>F8/N40</f>
        <v>13.855027356275963</v>
      </c>
      <c r="O8" s="19"/>
      <c r="P8" s="18">
        <v>14</v>
      </c>
      <c r="Q8" s="19"/>
    </row>
    <row r="9" spans="1:15" ht="12.75">
      <c r="A9" s="1"/>
      <c r="H9" s="1"/>
      <c r="I9" s="1"/>
      <c r="J9" s="14"/>
      <c r="K9" s="14"/>
      <c r="L9" s="14"/>
      <c r="M9" s="14"/>
      <c r="N9" s="14"/>
      <c r="O9" s="14"/>
    </row>
    <row r="10" spans="1:15" ht="12.75">
      <c r="A10" s="4" t="s">
        <v>6</v>
      </c>
      <c r="B10" s="8">
        <v>321338</v>
      </c>
      <c r="C10" s="8">
        <v>329954</v>
      </c>
      <c r="D10" s="25">
        <f>350882/D45</f>
        <v>339464.37958576065</v>
      </c>
      <c r="E10" s="8">
        <v>325735</v>
      </c>
      <c r="F10" s="25">
        <f>E10*F46</f>
        <v>335814.19803924125</v>
      </c>
      <c r="G10" s="8"/>
      <c r="H10" s="7"/>
      <c r="I10" s="7"/>
      <c r="J10" s="11">
        <f>B10/J40</f>
        <v>4.544505096911106</v>
      </c>
      <c r="K10" s="11">
        <f>C10/K40</f>
        <v>4.6291983615237635</v>
      </c>
      <c r="L10" s="11">
        <f>D10/L40</f>
        <v>4.819969534996596</v>
      </c>
      <c r="M10" s="11">
        <f>E10/M40</f>
        <v>4.679327409982546</v>
      </c>
      <c r="N10" s="11">
        <f>F10/N40</f>
        <v>4.681525005342439</v>
      </c>
      <c r="O10" s="11"/>
    </row>
    <row r="11" spans="1:15" ht="12.75">
      <c r="A11" s="4" t="s">
        <v>7</v>
      </c>
      <c r="B11" s="8">
        <v>147691</v>
      </c>
      <c r="C11" s="8">
        <v>145167</v>
      </c>
      <c r="D11" s="25">
        <f>147500/D45</f>
        <v>142700.38357310917</v>
      </c>
      <c r="E11" s="8">
        <v>142972</v>
      </c>
      <c r="F11" s="25">
        <f>E11*F46</f>
        <v>147395.97378871293</v>
      </c>
      <c r="G11" s="8"/>
      <c r="H11" s="7"/>
      <c r="I11" s="7"/>
      <c r="J11" s="11">
        <f>B11/J40</f>
        <v>2.08871189298464</v>
      </c>
      <c r="K11" s="11">
        <f>C11/K40</f>
        <v>2.0366682584460873</v>
      </c>
      <c r="L11" s="11">
        <f>D11/L40</f>
        <v>2.0261669347871876</v>
      </c>
      <c r="M11" s="11">
        <f>E11/M40</f>
        <v>2.0538560439007925</v>
      </c>
      <c r="N11" s="11">
        <f>F11/N40</f>
        <v>2.0548206151129578</v>
      </c>
      <c r="O11" s="11"/>
    </row>
    <row r="12" spans="1:16" ht="12.75">
      <c r="A12" s="4" t="s">
        <v>8</v>
      </c>
      <c r="B12" s="8">
        <v>301360</v>
      </c>
      <c r="C12" s="8">
        <v>304578</v>
      </c>
      <c r="D12" s="25">
        <f>313233/D45</f>
        <v>303040.4694763099</v>
      </c>
      <c r="E12" s="8">
        <v>296481</v>
      </c>
      <c r="F12" s="25">
        <f>E12*F46</f>
        <v>305654.993319331</v>
      </c>
      <c r="G12" s="8"/>
      <c r="H12" s="7"/>
      <c r="I12" s="7"/>
      <c r="J12" s="11">
        <f>B12/J40</f>
        <v>4.261967324141966</v>
      </c>
      <c r="K12" s="11">
        <f>C12/K40</f>
        <v>4.273177408233224</v>
      </c>
      <c r="L12" s="11">
        <f>D12/L40</f>
        <v>4.302795576164034</v>
      </c>
      <c r="M12" s="11">
        <f>E12/M40</f>
        <v>4.259080755334966</v>
      </c>
      <c r="N12" s="11">
        <f>F12/N40</f>
        <v>4.2610809864120585</v>
      </c>
      <c r="O12" s="11"/>
      <c r="P12" s="3">
        <v>4</v>
      </c>
    </row>
    <row r="13" spans="1:16" ht="12.75">
      <c r="A13" s="4" t="s">
        <v>9</v>
      </c>
      <c r="B13" s="8">
        <v>541763</v>
      </c>
      <c r="C13" s="8">
        <v>545338</v>
      </c>
      <c r="D13" s="25">
        <f>537163/D45</f>
        <v>519683.83824598</v>
      </c>
      <c r="E13" s="8">
        <v>519957</v>
      </c>
      <c r="F13" s="25">
        <f>E13*F46</f>
        <v>536045.9974208783</v>
      </c>
      <c r="G13" s="8"/>
      <c r="H13" s="7"/>
      <c r="I13" s="7"/>
      <c r="J13" s="11">
        <f>B13/J40</f>
        <v>7.66185360840564</v>
      </c>
      <c r="K13" s="11">
        <f>C13/K40</f>
        <v>7.650999157690607</v>
      </c>
      <c r="L13" s="11">
        <f>D13/L40</f>
        <v>7.378860401295525</v>
      </c>
      <c r="M13" s="11">
        <f>E13/M40</f>
        <v>7.469412381574884</v>
      </c>
      <c r="N13" s="11">
        <f>F13/N40</f>
        <v>7.472920310076716</v>
      </c>
      <c r="O13" s="11"/>
      <c r="P13" s="3">
        <v>7</v>
      </c>
    </row>
    <row r="14" spans="1:15" ht="12.75">
      <c r="A14" s="4" t="s">
        <v>10</v>
      </c>
      <c r="B14" s="8">
        <v>250658</v>
      </c>
      <c r="C14" s="8">
        <v>252051</v>
      </c>
      <c r="D14" s="25">
        <f>251831/D45</f>
        <v>243636.47658033666</v>
      </c>
      <c r="E14" s="8">
        <v>247935</v>
      </c>
      <c r="F14" s="25">
        <f>E14*F46</f>
        <v>255606.83743183655</v>
      </c>
      <c r="G14" s="8"/>
      <c r="H14" s="7"/>
      <c r="I14" s="7"/>
      <c r="J14" s="11">
        <f>B14/J40</f>
        <v>3.5449170611055774</v>
      </c>
      <c r="K14" s="11">
        <f>C14/K40</f>
        <v>3.5362325542967388</v>
      </c>
      <c r="L14" s="11">
        <f>D14/L40</f>
        <v>3.459333188843337</v>
      </c>
      <c r="M14" s="11">
        <f>E14/M40</f>
        <v>3.5616959841405516</v>
      </c>
      <c r="N14" s="11">
        <f>F14/N40</f>
        <v>3.563368696024614</v>
      </c>
      <c r="O14" s="11"/>
    </row>
    <row r="15" spans="1:17" s="20" customFormat="1" ht="12.75">
      <c r="A15" s="16" t="s">
        <v>11</v>
      </c>
      <c r="B15" s="17">
        <f>SUM(B10:B14)</f>
        <v>1562810</v>
      </c>
      <c r="C15" s="17">
        <f>SUM(C10:C14)</f>
        <v>1577088</v>
      </c>
      <c r="D15" s="17">
        <f>SUM(D10:D14)</f>
        <v>1548525.5474614964</v>
      </c>
      <c r="E15" s="17">
        <f>SUM(E10:E14)</f>
        <v>1533080</v>
      </c>
      <c r="F15" s="17">
        <f>SUM(F10:F14)</f>
        <v>1580518.0000000002</v>
      </c>
      <c r="G15" s="17"/>
      <c r="H15" s="18">
        <v>22</v>
      </c>
      <c r="I15" s="18"/>
      <c r="J15" s="19">
        <f>B15/J40</f>
        <v>22.10195498354893</v>
      </c>
      <c r="K15" s="19">
        <f>C15/K40</f>
        <v>22.12627574019042</v>
      </c>
      <c r="L15" s="19">
        <f>D15/L40</f>
        <v>21.98712563608668</v>
      </c>
      <c r="M15" s="19">
        <f>E15/M40</f>
        <v>22.023372574933738</v>
      </c>
      <c r="N15" s="19">
        <f>F15/N40</f>
        <v>22.033715612968788</v>
      </c>
      <c r="O15" s="19"/>
      <c r="P15" s="18">
        <v>22</v>
      </c>
      <c r="Q15" s="19"/>
    </row>
    <row r="16" spans="1:16" ht="12.75">
      <c r="A16" s="4"/>
      <c r="B16" s="6"/>
      <c r="C16" s="6"/>
      <c r="D16" s="6"/>
      <c r="E16" s="6"/>
      <c r="F16" s="6"/>
      <c r="G16" s="6"/>
      <c r="H16" s="7"/>
      <c r="I16" s="7"/>
      <c r="J16" s="14"/>
      <c r="K16" s="14"/>
      <c r="L16" s="14"/>
      <c r="M16" s="14"/>
      <c r="N16" s="14"/>
      <c r="O16" s="14"/>
      <c r="P16" s="15"/>
    </row>
    <row r="17" spans="1:15" ht="12.75">
      <c r="A17" s="4" t="s">
        <v>12</v>
      </c>
      <c r="B17" s="6">
        <v>265296</v>
      </c>
      <c r="C17" s="6">
        <v>265356</v>
      </c>
      <c r="D17" s="26">
        <f>269550/D45</f>
        <v>260778.90435343442</v>
      </c>
      <c r="E17" s="6">
        <v>261259</v>
      </c>
      <c r="F17" s="25">
        <f>E17*F47</f>
        <v>268498.67888148414</v>
      </c>
      <c r="G17" s="6"/>
      <c r="H17" s="7"/>
      <c r="I17" s="7"/>
      <c r="J17" s="11">
        <f>B17/J40</f>
        <v>3.751934175821499</v>
      </c>
      <c r="K17" s="11">
        <f>C17/K40</f>
        <v>3.7228994357410423</v>
      </c>
      <c r="L17" s="11">
        <f>D17/L40</f>
        <v>3.70273421879245</v>
      </c>
      <c r="M17" s="11">
        <f>E17/M40</f>
        <v>3.7531011398978618</v>
      </c>
      <c r="N17" s="11">
        <f>F17/N40</f>
        <v>3.743091526279643</v>
      </c>
      <c r="O17" s="11"/>
    </row>
    <row r="18" spans="1:15" ht="12.75">
      <c r="A18" s="4" t="s">
        <v>13</v>
      </c>
      <c r="B18" s="6">
        <v>180755</v>
      </c>
      <c r="C18" s="6">
        <v>182950</v>
      </c>
      <c r="D18" s="26">
        <f>191497/D45</f>
        <v>185265.7312074555</v>
      </c>
      <c r="E18" s="6">
        <v>174136</v>
      </c>
      <c r="F18" s="25">
        <f>E18*F47</f>
        <v>178961.43652737752</v>
      </c>
      <c r="G18" s="6"/>
      <c r="H18" s="7"/>
      <c r="I18" s="7"/>
      <c r="J18" s="11">
        <f>B18/J40</f>
        <v>2.556317705320152</v>
      </c>
      <c r="K18" s="11">
        <f>C18/K40</f>
        <v>2.5667573062935216</v>
      </c>
      <c r="L18" s="11">
        <f>D18/L40</f>
        <v>2.630541623802997</v>
      </c>
      <c r="M18" s="11">
        <f>E18/M40</f>
        <v>2.5015406937072178</v>
      </c>
      <c r="N18" s="11">
        <f>F18/N40</f>
        <v>2.4948690227713954</v>
      </c>
      <c r="O18" s="11"/>
    </row>
    <row r="19" spans="1:15" ht="12.75">
      <c r="A19" s="4" t="s">
        <v>14</v>
      </c>
      <c r="B19" s="6">
        <v>115415</v>
      </c>
      <c r="C19" s="6">
        <v>115806</v>
      </c>
      <c r="D19" s="26">
        <f>115645/D45</f>
        <v>111881.93802245567</v>
      </c>
      <c r="E19" s="6">
        <v>109553</v>
      </c>
      <c r="F19" s="25">
        <f>E19*F47</f>
        <v>112588.79413724784</v>
      </c>
      <c r="G19" s="6"/>
      <c r="H19" s="7"/>
      <c r="I19" s="7"/>
      <c r="J19" s="11">
        <f>B19/J40</f>
        <v>1.6322503275678424</v>
      </c>
      <c r="K19" s="11">
        <f>C19/K40</f>
        <v>1.6247384346139795</v>
      </c>
      <c r="L19" s="11">
        <f>D19/L40</f>
        <v>1.588583560498063</v>
      </c>
      <c r="M19" s="11">
        <f>E19/M40</f>
        <v>1.5737773212759385</v>
      </c>
      <c r="N19" s="11">
        <f>F19/N40</f>
        <v>1.5695800182137793</v>
      </c>
      <c r="O19" s="11"/>
    </row>
    <row r="20" spans="1:15" ht="12.75">
      <c r="A20" s="4" t="s">
        <v>15</v>
      </c>
      <c r="B20" s="6">
        <v>124476</v>
      </c>
      <c r="C20" s="6">
        <v>124610</v>
      </c>
      <c r="D20" s="26">
        <f>128185/D45</f>
        <v>124013.88927673899</v>
      </c>
      <c r="E20" s="6">
        <v>121292</v>
      </c>
      <c r="F20" s="25">
        <f>E20*F47</f>
        <v>124653.09045389049</v>
      </c>
      <c r="G20" s="6"/>
      <c r="H20" s="7"/>
      <c r="I20" s="7"/>
      <c r="J20" s="11">
        <f>B20/J40</f>
        <v>1.7603950246877333</v>
      </c>
      <c r="K20" s="11">
        <f>C20/K40</f>
        <v>1.748257053496779</v>
      </c>
      <c r="L20" s="11">
        <f>D20/L40</f>
        <v>1.7608420917674281</v>
      </c>
      <c r="M20" s="11">
        <f>E20/M40</f>
        <v>1.742413250684154</v>
      </c>
      <c r="N20" s="11">
        <f>F20/N40</f>
        <v>1.7377661914250244</v>
      </c>
      <c r="O20" s="11"/>
    </row>
    <row r="21" spans="1:17" s="20" customFormat="1" ht="12.75">
      <c r="A21" s="16" t="s">
        <v>16</v>
      </c>
      <c r="B21" s="17">
        <f>SUM(B17:B20)</f>
        <v>685942</v>
      </c>
      <c r="C21" s="17">
        <f>SUM(C17:C20)</f>
        <v>688722</v>
      </c>
      <c r="D21" s="17">
        <f>SUM(D17:D20)</f>
        <v>681940.4628600846</v>
      </c>
      <c r="E21" s="17">
        <f>SUM(E17:E20)</f>
        <v>666240</v>
      </c>
      <c r="F21" s="17">
        <f>SUM(F17:F20)</f>
        <v>684702</v>
      </c>
      <c r="G21" s="17"/>
      <c r="H21" s="18"/>
      <c r="I21" s="18"/>
      <c r="J21" s="19">
        <f>B21/J40</f>
        <v>9.700897233397226</v>
      </c>
      <c r="K21" s="19">
        <f>C21/K40</f>
        <v>9.662652230145323</v>
      </c>
      <c r="L21" s="19">
        <f>D21/L40</f>
        <v>9.682701494860938</v>
      </c>
      <c r="M21" s="19">
        <f>E21/M40</f>
        <v>9.570832405565172</v>
      </c>
      <c r="N21" s="19">
        <f>F21/N40</f>
        <v>9.545306758689842</v>
      </c>
      <c r="O21" s="19"/>
      <c r="P21" s="18">
        <v>10</v>
      </c>
      <c r="Q21" s="19"/>
    </row>
    <row r="22" spans="1:17" s="20" customFormat="1" ht="12.75">
      <c r="A22" s="16"/>
      <c r="B22" s="17"/>
      <c r="C22" s="17"/>
      <c r="D22" s="6"/>
      <c r="E22" s="17"/>
      <c r="F22" s="6"/>
      <c r="G22" s="17"/>
      <c r="H22" s="18"/>
      <c r="I22" s="18"/>
      <c r="J22" s="19"/>
      <c r="K22" s="19"/>
      <c r="L22" s="19"/>
      <c r="M22" s="19"/>
      <c r="N22" s="19"/>
      <c r="O22" s="19"/>
      <c r="P22" s="18"/>
      <c r="Q22" s="19"/>
    </row>
    <row r="23" spans="1:18" s="20" customFormat="1" ht="12.75">
      <c r="A23" s="4" t="s">
        <v>35</v>
      </c>
      <c r="B23" s="6">
        <f>B17+B18</f>
        <v>446051</v>
      </c>
      <c r="C23" s="6">
        <f>C17+C18</f>
        <v>448306</v>
      </c>
      <c r="D23" s="6">
        <f>D17+D18</f>
        <v>446044.63556088996</v>
      </c>
      <c r="E23" s="6">
        <f>E17+E18</f>
        <v>435395</v>
      </c>
      <c r="F23" s="6">
        <f>F17+F18</f>
        <v>447460.11540886166</v>
      </c>
      <c r="G23" s="6"/>
      <c r="H23" s="7"/>
      <c r="I23" s="7"/>
      <c r="J23" s="11">
        <f>B23/J40</f>
        <v>6.3082518811416515</v>
      </c>
      <c r="K23" s="11">
        <f>C23/K40</f>
        <v>6.2896567420345635</v>
      </c>
      <c r="L23" s="11">
        <f>D23/L40</f>
        <v>6.333275842595447</v>
      </c>
      <c r="M23" s="11">
        <f>E23/M40</f>
        <v>6.2546418336050795</v>
      </c>
      <c r="N23" s="11">
        <f>F23/N40</f>
        <v>6.237960549051039</v>
      </c>
      <c r="O23" s="3"/>
      <c r="P23" s="14"/>
      <c r="Q23" s="3"/>
      <c r="R23" s="14"/>
    </row>
    <row r="24" spans="1:18" s="20" customFormat="1" ht="12.75">
      <c r="A24" s="4" t="s">
        <v>36</v>
      </c>
      <c r="B24" s="6">
        <f>B19+B20</f>
        <v>239891</v>
      </c>
      <c r="C24" s="6">
        <f>C19+C20</f>
        <v>240416</v>
      </c>
      <c r="D24" s="6">
        <f>D19+D20</f>
        <v>235895.82729919464</v>
      </c>
      <c r="E24" s="6">
        <f>E19+E20</f>
        <v>230845</v>
      </c>
      <c r="F24" s="6">
        <f>F19+F20</f>
        <v>237241.88459113834</v>
      </c>
      <c r="G24" s="6"/>
      <c r="H24" s="7"/>
      <c r="I24" s="7"/>
      <c r="J24" s="11">
        <f>B24/J40</f>
        <v>3.3926453522555757</v>
      </c>
      <c r="K24" s="11">
        <f>C24/K40</f>
        <v>3.3729954881107584</v>
      </c>
      <c r="L24" s="11">
        <f>D24/L40</f>
        <v>3.349425652265491</v>
      </c>
      <c r="M24" s="11">
        <f>E24/M40</f>
        <v>3.316190571960093</v>
      </c>
      <c r="N24" s="11">
        <f>F24/N40</f>
        <v>3.307346209638804</v>
      </c>
      <c r="O24" s="3"/>
      <c r="P24" s="14"/>
      <c r="Q24" s="3"/>
      <c r="R24" s="14"/>
    </row>
    <row r="25" spans="1:15" ht="12.75">
      <c r="A25" s="4"/>
      <c r="B25" s="6"/>
      <c r="C25" s="6"/>
      <c r="D25" s="6"/>
      <c r="E25" s="6"/>
      <c r="F25" s="6"/>
      <c r="G25" s="6"/>
      <c r="H25" s="7"/>
      <c r="I25" s="7"/>
      <c r="J25" s="14"/>
      <c r="K25" s="14"/>
      <c r="L25" s="14"/>
      <c r="M25" s="14"/>
      <c r="N25" s="14"/>
      <c r="O25" s="14"/>
    </row>
    <row r="26" spans="1:15" ht="12.75">
      <c r="A26" s="4" t="s">
        <v>17</v>
      </c>
      <c r="B26" s="6">
        <v>44376</v>
      </c>
      <c r="C26" s="6">
        <v>44552</v>
      </c>
      <c r="D26" s="25">
        <f>44900/D45</f>
        <v>43438.96421988205</v>
      </c>
      <c r="E26" s="6">
        <v>43302</v>
      </c>
      <c r="F26" s="25">
        <f>E26*F48</f>
        <v>44612.75390259525</v>
      </c>
      <c r="G26" s="6"/>
      <c r="H26" s="7"/>
      <c r="I26" s="7"/>
      <c r="J26" s="11">
        <f>B26/J40</f>
        <v>0.6275851538894474</v>
      </c>
      <c r="K26" s="11">
        <f>C26/K40</f>
        <v>0.6250569637058703</v>
      </c>
      <c r="L26" s="11">
        <f>D26/L40</f>
        <v>0.6167789516742015</v>
      </c>
      <c r="M26" s="11">
        <f>E26/M40</f>
        <v>0.6220523907687666</v>
      </c>
      <c r="N26" s="11">
        <f>F26/N40</f>
        <v>0.6219383342683519</v>
      </c>
      <c r="O26" s="11"/>
    </row>
    <row r="27" spans="1:15" ht="12.75">
      <c r="A27" s="4" t="s">
        <v>18</v>
      </c>
      <c r="B27" s="6">
        <v>70278</v>
      </c>
      <c r="C27" s="6">
        <v>70709</v>
      </c>
      <c r="D27" s="25">
        <f>71439/D45</f>
        <v>69114.39120053794</v>
      </c>
      <c r="E27" s="6">
        <v>68768</v>
      </c>
      <c r="F27" s="25">
        <f>E27*F48</f>
        <v>70849.61111204264</v>
      </c>
      <c r="G27" s="6"/>
      <c r="H27" s="7"/>
      <c r="I27" s="7"/>
      <c r="J27" s="11">
        <f>B27/J40</f>
        <v>0.9939027727835448</v>
      </c>
      <c r="K27" s="11">
        <f>C27/K40</f>
        <v>0.9920352138327883</v>
      </c>
      <c r="L27" s="11">
        <f>D27/L40</f>
        <v>0.9813378959610974</v>
      </c>
      <c r="M27" s="11">
        <f>E27/M40</f>
        <v>0.987882749258384</v>
      </c>
      <c r="N27" s="11">
        <f>F27/N40</f>
        <v>0.9877016158830083</v>
      </c>
      <c r="O27" s="11"/>
    </row>
    <row r="28" spans="1:15" ht="12.75">
      <c r="A28" s="4" t="s">
        <v>19</v>
      </c>
      <c r="B28" s="6">
        <v>116382</v>
      </c>
      <c r="C28" s="6">
        <v>117243</v>
      </c>
      <c r="D28" s="25">
        <f>120291/D45</f>
        <v>116376.7582399517</v>
      </c>
      <c r="E28" s="6">
        <v>117983</v>
      </c>
      <c r="F28" s="25">
        <f>E28*F48</f>
        <v>121554.35184725636</v>
      </c>
      <c r="G28" s="6"/>
      <c r="H28" s="7"/>
      <c r="I28" s="7"/>
      <c r="J28" s="11">
        <f>B28/J40</f>
        <v>1.645926072200326</v>
      </c>
      <c r="K28" s="11">
        <f>C28/K40</f>
        <v>1.644899299599734</v>
      </c>
      <c r="L28" s="11">
        <f>D28/L40</f>
        <v>1.652404384762614</v>
      </c>
      <c r="M28" s="11">
        <f>E28/M40</f>
        <v>1.6948780014796405</v>
      </c>
      <c r="N28" s="11">
        <f>F28/N40</f>
        <v>1.6945672368939761</v>
      </c>
      <c r="O28" s="11"/>
    </row>
    <row r="29" spans="1:15" ht="12.75">
      <c r="A29" s="4" t="s">
        <v>20</v>
      </c>
      <c r="B29" s="6">
        <v>37245</v>
      </c>
      <c r="C29" s="6">
        <v>34633</v>
      </c>
      <c r="D29" s="25">
        <f>35885/D45</f>
        <v>34717.31026793914</v>
      </c>
      <c r="E29" s="6">
        <v>34720</v>
      </c>
      <c r="F29" s="25">
        <f>E29*F48</f>
        <v>35770.97629435377</v>
      </c>
      <c r="G29" s="6"/>
      <c r="H29" s="7"/>
      <c r="I29" s="7"/>
      <c r="J29" s="11">
        <f>B29/J40</f>
        <v>0.5267353762532105</v>
      </c>
      <c r="K29" s="11">
        <f>C29/K40</f>
        <v>0.48589508493502886</v>
      </c>
      <c r="L29" s="11">
        <f>D29/L40</f>
        <v>0.4929423759650049</v>
      </c>
      <c r="M29" s="11">
        <f>E29/M40</f>
        <v>0.49876816330635027</v>
      </c>
      <c r="N29" s="11">
        <f>F29/N40</f>
        <v>0.49867671160217025</v>
      </c>
      <c r="O29" s="11"/>
    </row>
    <row r="30" spans="1:15" ht="12.75">
      <c r="A30" s="4" t="s">
        <v>21</v>
      </c>
      <c r="B30" s="6">
        <v>41032</v>
      </c>
      <c r="C30" s="6">
        <v>41234</v>
      </c>
      <c r="D30" s="25">
        <f>40984/D45</f>
        <v>39650.38996854445</v>
      </c>
      <c r="E30" s="6">
        <v>40590</v>
      </c>
      <c r="F30" s="25">
        <f>E30*F48</f>
        <v>41818.66151462614</v>
      </c>
      <c r="G30" s="6"/>
      <c r="H30" s="7"/>
      <c r="I30" s="7"/>
      <c r="J30" s="11">
        <f>B30/J40</f>
        <v>0.5802928167115514</v>
      </c>
      <c r="K30" s="11">
        <f>C30/K40</f>
        <v>0.5785059894381365</v>
      </c>
      <c r="L30" s="11">
        <f>D30/L40</f>
        <v>0.5629859366462243</v>
      </c>
      <c r="M30" s="11">
        <f>E30/M40</f>
        <v>0.5830933107317038</v>
      </c>
      <c r="N30" s="11">
        <f>F30/N40</f>
        <v>0.5829863975786892</v>
      </c>
      <c r="O30" s="11"/>
    </row>
    <row r="31" spans="1:15" ht="12.75">
      <c r="A31" s="4" t="s">
        <v>22</v>
      </c>
      <c r="B31" s="6">
        <v>85624</v>
      </c>
      <c r="C31" s="6">
        <v>85634</v>
      </c>
      <c r="D31" s="25">
        <f>85751/D45</f>
        <v>82960.68197815379</v>
      </c>
      <c r="E31" s="6">
        <v>82120</v>
      </c>
      <c r="F31" s="25">
        <f>E31*F48</f>
        <v>84605.7768805395</v>
      </c>
      <c r="G31" s="6"/>
      <c r="H31" s="7">
        <v>1.1</v>
      </c>
      <c r="I31" s="7"/>
      <c r="J31" s="11">
        <f>B31/J40</f>
        <v>1.2109327387919155</v>
      </c>
      <c r="K31" s="11">
        <f>C31/K40</f>
        <v>1.2014304190606144</v>
      </c>
      <c r="L31" s="11">
        <f>D31/L40</f>
        <v>1.177937903897872</v>
      </c>
      <c r="M31" s="11">
        <f>E31/M40</f>
        <v>1.1796901374054574</v>
      </c>
      <c r="N31" s="11">
        <f>F31/N40</f>
        <v>1.1794738351604326</v>
      </c>
      <c r="O31" s="11"/>
    </row>
    <row r="32" spans="1:15" ht="12.75">
      <c r="A32" s="4" t="s">
        <v>23</v>
      </c>
      <c r="B32" s="6">
        <v>62988</v>
      </c>
      <c r="C32" s="6">
        <v>63927</v>
      </c>
      <c r="D32" s="25">
        <f>67176/D45</f>
        <v>64990.10825021818</v>
      </c>
      <c r="E32" s="6">
        <v>65775</v>
      </c>
      <c r="F32" s="25">
        <f>E32*F48</f>
        <v>67766.01283874191</v>
      </c>
      <c r="G32" s="6"/>
      <c r="H32" s="7"/>
      <c r="I32" s="7"/>
      <c r="J32" s="11">
        <f>B32/J40</f>
        <v>0.8908043463401053</v>
      </c>
      <c r="K32" s="11">
        <f>C32/K40</f>
        <v>0.8968849101909043</v>
      </c>
      <c r="L32" s="11">
        <f>D32/L40</f>
        <v>0.9227782373645024</v>
      </c>
      <c r="M32" s="11">
        <f>E32/M40</f>
        <v>0.9448869798811977</v>
      </c>
      <c r="N32" s="11">
        <f>F32/N40</f>
        <v>0.9447137300009432</v>
      </c>
      <c r="O32" s="11"/>
    </row>
    <row r="33" spans="1:16" ht="12.75">
      <c r="A33" s="4" t="s">
        <v>24</v>
      </c>
      <c r="B33" s="6">
        <f>SUM(B26:B32)</f>
        <v>457925</v>
      </c>
      <c r="C33" s="6">
        <f>SUM(C26:C32)</f>
        <v>457932</v>
      </c>
      <c r="D33" s="6">
        <f>SUM(D26:D32)</f>
        <v>451248.6041252272</v>
      </c>
      <c r="E33" s="6">
        <f>SUM(E26:E32)</f>
        <v>453258</v>
      </c>
      <c r="F33" s="6">
        <f>SUM(F26:F32)</f>
        <v>466978.14439015556</v>
      </c>
      <c r="G33" s="6"/>
      <c r="H33" s="7">
        <v>6</v>
      </c>
      <c r="I33" s="7"/>
      <c r="J33" s="11">
        <f>B33/J40</f>
        <v>6.476179276970101</v>
      </c>
      <c r="K33" s="11">
        <f>C33/K40</f>
        <v>6.424707880763076</v>
      </c>
      <c r="L33" s="11">
        <f>D33/L40</f>
        <v>6.407165686271516</v>
      </c>
      <c r="M33" s="11">
        <f>E33/M40</f>
        <v>6.511251732831501</v>
      </c>
      <c r="N33" s="11">
        <f>F33/N40</f>
        <v>6.510057861387572</v>
      </c>
      <c r="O33" s="11"/>
      <c r="P33" s="7">
        <v>6</v>
      </c>
    </row>
    <row r="34" spans="1:15" ht="12.75">
      <c r="A34" s="4"/>
      <c r="B34" s="6"/>
      <c r="C34" s="6"/>
      <c r="D34" s="6"/>
      <c r="E34" s="6"/>
      <c r="F34" s="6"/>
      <c r="G34" s="6"/>
      <c r="H34" s="7"/>
      <c r="I34" s="7"/>
      <c r="J34" s="14"/>
      <c r="K34" s="14"/>
      <c r="L34" s="14"/>
      <c r="M34" s="14"/>
      <c r="N34" s="14"/>
      <c r="O34" s="14"/>
    </row>
    <row r="35" spans="1:16" ht="12.75">
      <c r="A35" s="4" t="s">
        <v>25</v>
      </c>
      <c r="B35" s="6">
        <v>148810</v>
      </c>
      <c r="C35" s="6">
        <v>150781</v>
      </c>
      <c r="D35" s="26">
        <f>156816/D45</f>
        <v>151713.243053564</v>
      </c>
      <c r="E35" s="6">
        <v>143140</v>
      </c>
      <c r="F35" s="25">
        <f>E35*F48</f>
        <v>147472.85560984444</v>
      </c>
      <c r="G35" s="6"/>
      <c r="H35" s="7">
        <v>2</v>
      </c>
      <c r="I35" s="7"/>
      <c r="J35" s="11">
        <f>B35/J40</f>
        <v>2.1045372893070278</v>
      </c>
      <c r="K35" s="11">
        <f>C35/K40</f>
        <v>2.115431721236641</v>
      </c>
      <c r="L35" s="11">
        <f>D35/L40</f>
        <v>2.154138264715848</v>
      </c>
      <c r="M35" s="11">
        <f>E35/M40</f>
        <v>2.0562694382393714</v>
      </c>
      <c r="N35" s="11">
        <f>F35/N40</f>
        <v>2.0558924106778416</v>
      </c>
      <c r="O35" s="11"/>
      <c r="P35" s="3">
        <v>2</v>
      </c>
    </row>
    <row r="36" spans="1:17" s="20" customFormat="1" ht="12.75">
      <c r="A36" s="16" t="s">
        <v>31</v>
      </c>
      <c r="B36" s="17">
        <f>B33+B35</f>
        <v>606735</v>
      </c>
      <c r="C36" s="17">
        <f>C33+C35</f>
        <v>608713</v>
      </c>
      <c r="D36" s="17">
        <f>D33+D35</f>
        <v>602961.8471787912</v>
      </c>
      <c r="E36" s="17">
        <f>E33+E35</f>
        <v>596398</v>
      </c>
      <c r="F36" s="17">
        <f>F33+F35</f>
        <v>614451</v>
      </c>
      <c r="G36" s="17"/>
      <c r="H36" s="18">
        <f>H33+H35</f>
        <v>8</v>
      </c>
      <c r="I36" s="18"/>
      <c r="J36" s="19">
        <f>B36/J40</f>
        <v>8.580716566277129</v>
      </c>
      <c r="K36" s="19">
        <f>C36/K40</f>
        <v>8.540139601999718</v>
      </c>
      <c r="L36" s="19">
        <f>D36/L40</f>
        <v>8.561303950987364</v>
      </c>
      <c r="M36" s="19">
        <f>E36/M40</f>
        <v>8.567521171070872</v>
      </c>
      <c r="N36" s="19">
        <f>F36/N40</f>
        <v>8.565950272065413</v>
      </c>
      <c r="O36" s="19"/>
      <c r="P36" s="18">
        <v>8</v>
      </c>
      <c r="Q36" s="19"/>
    </row>
    <row r="37" spans="1:15" ht="12.75">
      <c r="A37" s="1"/>
      <c r="B37" s="9"/>
      <c r="C37" s="9"/>
      <c r="D37" s="9"/>
      <c r="E37" s="9"/>
      <c r="F37" s="9"/>
      <c r="G37" s="9"/>
      <c r="H37" s="1"/>
      <c r="I37" s="1"/>
      <c r="J37" s="14"/>
      <c r="K37" s="14"/>
      <c r="L37" s="14"/>
      <c r="M37" s="14"/>
      <c r="N37" s="14"/>
      <c r="O37" s="14"/>
    </row>
    <row r="38" spans="1:17" s="20" customFormat="1" ht="12.75">
      <c r="A38" s="21" t="s">
        <v>29</v>
      </c>
      <c r="B38" s="27">
        <f>B8+B15+B21+B33+B35</f>
        <v>3818293</v>
      </c>
      <c r="C38" s="27">
        <f>C8+C15+C21+C33+C35</f>
        <v>3848942</v>
      </c>
      <c r="D38" s="27">
        <f>D8+D15+D21+D33+D35</f>
        <v>3803151.942047289</v>
      </c>
      <c r="E38" s="27">
        <f>E8+E15+E21+E33+E35</f>
        <v>3759021</v>
      </c>
      <c r="F38" s="27">
        <f>F8+F15+F21+F33+F35</f>
        <v>3873517</v>
      </c>
      <c r="G38" s="27"/>
      <c r="H38" s="18">
        <f>H8+H15+H21+H33+H35</f>
        <v>44</v>
      </c>
      <c r="I38" s="18"/>
      <c r="J38" s="28">
        <v>54</v>
      </c>
      <c r="K38" s="28">
        <v>54</v>
      </c>
      <c r="L38" s="28">
        <v>54</v>
      </c>
      <c r="M38" s="28">
        <v>54</v>
      </c>
      <c r="N38" s="28">
        <v>54</v>
      </c>
      <c r="O38" s="28"/>
      <c r="P38" s="18">
        <f>P8+P15+P21+P33+P35</f>
        <v>54</v>
      </c>
      <c r="Q38" s="19"/>
    </row>
    <row r="39" spans="1:15" ht="12.75">
      <c r="A39" s="1"/>
      <c r="B39" s="9"/>
      <c r="C39" s="9"/>
      <c r="D39" s="9"/>
      <c r="E39" s="9"/>
      <c r="F39" s="9"/>
      <c r="G39" s="9"/>
      <c r="H39" s="1"/>
      <c r="I39" s="1"/>
      <c r="J39" s="13"/>
      <c r="K39" s="13"/>
      <c r="L39" s="13"/>
      <c r="M39" s="13"/>
      <c r="N39" s="13"/>
      <c r="O39" s="13"/>
    </row>
    <row r="40" spans="1:15" ht="12.75">
      <c r="A40" s="3" t="s">
        <v>26</v>
      </c>
      <c r="D40" s="11"/>
      <c r="E40" s="11"/>
      <c r="F40" s="11"/>
      <c r="G40" s="11"/>
      <c r="J40" s="6">
        <f>B38/J38</f>
        <v>70709.12962962964</v>
      </c>
      <c r="K40" s="6">
        <f>C38/K38</f>
        <v>71276.70370370371</v>
      </c>
      <c r="L40" s="6">
        <f>D38/L38</f>
        <v>70428.7396675424</v>
      </c>
      <c r="M40" s="6">
        <f>E38/M38</f>
        <v>69611.5</v>
      </c>
      <c r="N40" s="6">
        <f>F38/N38</f>
        <v>71731.79629629629</v>
      </c>
      <c r="O40" s="6"/>
    </row>
    <row r="41" spans="1:7" ht="12.75">
      <c r="A41" s="3" t="s">
        <v>33</v>
      </c>
      <c r="E41" s="8">
        <v>75448</v>
      </c>
      <c r="F41" s="8">
        <f>E41*(F54/E38)</f>
        <v>77746.07021775085</v>
      </c>
      <c r="G41" s="8"/>
    </row>
    <row r="42" spans="1:7" ht="12.75">
      <c r="A42" s="3" t="s">
        <v>32</v>
      </c>
      <c r="E42" s="11">
        <f>E38/E41</f>
        <v>49.82267256918672</v>
      </c>
      <c r="F42" s="11">
        <f>F38/F41</f>
        <v>49.82267256918672</v>
      </c>
      <c r="G42" s="11"/>
    </row>
    <row r="45" spans="1:9" ht="12.75">
      <c r="A45" s="3" t="s">
        <v>38</v>
      </c>
      <c r="D45" s="3">
        <v>1.03363422232451</v>
      </c>
      <c r="F45" s="3">
        <f>F50/E8</f>
        <v>1.031706534704034</v>
      </c>
      <c r="G45" s="3" t="s">
        <v>41</v>
      </c>
      <c r="I45" s="20" t="s">
        <v>44</v>
      </c>
    </row>
    <row r="46" spans="6:9" ht="12.75">
      <c r="F46" s="3">
        <f>F51/E15</f>
        <v>1.030942938398518</v>
      </c>
      <c r="G46" s="3" t="s">
        <v>40</v>
      </c>
      <c r="I46" s="3" t="s">
        <v>45</v>
      </c>
    </row>
    <row r="47" spans="6:9" ht="12.75">
      <c r="F47" s="3">
        <f>F52/E21</f>
        <v>1.027710734870317</v>
      </c>
      <c r="G47" s="3" t="s">
        <v>42</v>
      </c>
      <c r="I47" s="3" t="s">
        <v>46</v>
      </c>
    </row>
    <row r="48" spans="6:9" ht="12.75">
      <c r="F48" s="3">
        <f>F53/E36</f>
        <v>1.0302700545608805</v>
      </c>
      <c r="G48" s="3" t="s">
        <v>43</v>
      </c>
      <c r="I48" s="3" t="s">
        <v>47</v>
      </c>
    </row>
    <row r="49" spans="1:6" ht="12.75">
      <c r="A49" s="3" t="s">
        <v>37</v>
      </c>
      <c r="F49" s="8"/>
    </row>
    <row r="50" spans="6:9" ht="12.75">
      <c r="F50" s="8">
        <v>993846</v>
      </c>
      <c r="G50" s="3" t="s">
        <v>41</v>
      </c>
      <c r="I50" s="3" t="s">
        <v>50</v>
      </c>
    </row>
    <row r="51" spans="6:9" ht="12.75">
      <c r="F51" s="8">
        <v>1580518</v>
      </c>
      <c r="G51" s="3" t="s">
        <v>40</v>
      </c>
      <c r="I51" s="3" t="s">
        <v>48</v>
      </c>
    </row>
    <row r="52" spans="5:9" ht="12.75">
      <c r="E52" s="33"/>
      <c r="F52" s="8">
        <v>684702</v>
      </c>
      <c r="G52" s="3" t="s">
        <v>42</v>
      </c>
      <c r="I52" s="3" t="s">
        <v>49</v>
      </c>
    </row>
    <row r="53" spans="6:7" ht="12.75">
      <c r="F53" s="8">
        <v>614451</v>
      </c>
      <c r="G53" s="3" t="s">
        <v>43</v>
      </c>
    </row>
    <row r="54" spans="1:9" ht="12.75">
      <c r="A54" s="3" t="s">
        <v>37</v>
      </c>
      <c r="F54" s="8">
        <f>SUM(F50:F53)</f>
        <v>3873517</v>
      </c>
      <c r="I54" s="3" t="s">
        <v>51</v>
      </c>
    </row>
    <row r="55" ht="12.75">
      <c r="I55" s="3" t="s">
        <v>52</v>
      </c>
    </row>
    <row r="56" ht="12.75">
      <c r="I56" s="3" t="s">
        <v>53</v>
      </c>
    </row>
  </sheetData>
  <mergeCells count="2">
    <mergeCell ref="B1:H1"/>
    <mergeCell ref="J1:P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Jonathan Harston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Harston</dc:creator>
  <cp:keywords/>
  <dc:description/>
  <cp:lastModifiedBy>Jonathan Harston</cp:lastModifiedBy>
  <cp:lastPrinted>2011-07-10T21:49:24Z</cp:lastPrinted>
  <dcterms:created xsi:type="dcterms:W3CDTF">2011-06-13T14:52:56Z</dcterms:created>
  <dcterms:modified xsi:type="dcterms:W3CDTF">2015-06-03T11:48:38Z</dcterms:modified>
  <cp:category/>
  <cp:version/>
  <cp:contentType/>
  <cp:contentStatus/>
</cp:coreProperties>
</file>